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żytkownik\Documents\Moje dokumenty 2020 WCRS\DIETY - FORMULARZE WYPŁATY NA KONTO\"/>
    </mc:Choice>
  </mc:AlternateContent>
  <xr:revisionPtr revIDLastSave="0" documentId="13_ncr:1_{B098F596-59E2-46C0-8118-BDAE2683F3A9}" xr6:coauthVersionLast="45" xr6:coauthVersionMax="45" xr10:uidLastSave="{00000000-0000-0000-0000-000000000000}"/>
  <workbookProtection workbookAlgorithmName="SHA-512" workbookHashValue="WtUT5N5BEGX1m7jC+/OVyrTUkdrZoCw3GeesXZa5oMKOW/ZEmfzF6huBFNrYAEbXCNLjOnoNk3FdWf++Sd2ukw==" workbookSaltValue="v6mvrKh+yBGD4hgVSR07/A==" workbookSpinCount="100000" lockStructure="1"/>
  <bookViews>
    <workbookView xWindow="-120" yWindow="-120" windowWidth="29040" windowHeight="15990" xr2:uid="{9E4E04E2-B89C-4711-B3EA-90FA494454DE}"/>
  </bookViews>
  <sheets>
    <sheet name="Arkusz1" sheetId="1" r:id="rId1"/>
    <sheet name="Arkusz3" sheetId="3" r:id="rId2"/>
    <sheet name="Arkusz4" sheetId="4" r:id="rId3"/>
    <sheet name="Arkusz2" sheetId="2" r:id="rId4"/>
  </sheets>
  <calcPr calcId="18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2" i="1" l="1"/>
  <c r="K31" i="1" l="1"/>
  <c r="A50" i="1" s="1"/>
  <c r="A52" i="1" l="1"/>
  <c r="D50" i="1" s="1"/>
  <c r="E50" i="1" s="1"/>
  <c r="B52" i="1" l="1"/>
  <c r="C52" i="1"/>
  <c r="J53" i="1"/>
  <c r="J62" i="1" s="1"/>
  <c r="D52" i="1"/>
  <c r="C54" i="1" l="1"/>
  <c r="C60" i="1"/>
  <c r="C53" i="1"/>
  <c r="C61" i="1"/>
  <c r="C59" i="1"/>
  <c r="C56" i="1"/>
  <c r="C55" i="1"/>
  <c r="C58" i="1"/>
  <c r="C57" i="1"/>
  <c r="F52" i="1"/>
  <c r="G52" i="1" s="1"/>
  <c r="I52" i="1" s="1"/>
  <c r="I54" i="1" s="1"/>
  <c r="B53" i="1"/>
  <c r="E53" i="1"/>
  <c r="E62" i="1" s="1"/>
  <c r="D53" i="1"/>
  <c r="D54" i="1"/>
  <c r="D55" i="1"/>
  <c r="B54" i="1"/>
  <c r="B55" i="1"/>
  <c r="B60" i="1"/>
  <c r="D60" i="1"/>
  <c r="D61" i="1"/>
  <c r="D58" i="1"/>
  <c r="B59" i="1"/>
  <c r="B57" i="1"/>
  <c r="B61" i="1"/>
  <c r="D59" i="1"/>
  <c r="B56" i="1"/>
  <c r="D57" i="1"/>
  <c r="B58" i="1"/>
  <c r="D56" i="1"/>
  <c r="B62" i="1" l="1"/>
  <c r="C62" i="1"/>
  <c r="F56" i="1"/>
  <c r="F59" i="1"/>
  <c r="F61" i="1"/>
  <c r="F53" i="1"/>
  <c r="F57" i="1"/>
  <c r="F55" i="1"/>
  <c r="F60" i="1"/>
  <c r="F54" i="1"/>
  <c r="F58" i="1"/>
  <c r="I53" i="1"/>
  <c r="I57" i="1"/>
  <c r="I55" i="1"/>
  <c r="I56" i="1"/>
  <c r="I61" i="1"/>
  <c r="G59" i="1"/>
  <c r="G55" i="1"/>
  <c r="G61" i="1"/>
  <c r="G58" i="1"/>
  <c r="I59" i="1"/>
  <c r="G60" i="1"/>
  <c r="G54" i="1"/>
  <c r="G56" i="1"/>
  <c r="I60" i="1"/>
  <c r="I58" i="1"/>
  <c r="G57" i="1"/>
  <c r="D62" i="1"/>
  <c r="H52" i="1"/>
  <c r="I62" i="1" l="1"/>
  <c r="F62" i="1"/>
  <c r="H57" i="1"/>
  <c r="H58" i="1"/>
  <c r="H54" i="1"/>
  <c r="H61" i="1"/>
  <c r="H60" i="1"/>
  <c r="H59" i="1"/>
  <c r="H55" i="1"/>
  <c r="G53" i="1"/>
  <c r="G62" i="1" s="1"/>
  <c r="H56" i="1"/>
  <c r="H53" i="1"/>
  <c r="H62" i="1" l="1"/>
  <c r="A63" i="1" s="1"/>
  <c r="D33" i="1" s="1"/>
</calcChain>
</file>

<file path=xl/sharedStrings.xml><?xml version="1.0" encoding="utf-8"?>
<sst xmlns="http://schemas.openxmlformats.org/spreadsheetml/2006/main" count="83" uniqueCount="65">
  <si>
    <t>Imię i nazwisko:</t>
  </si>
  <si>
    <t>Stanowisko:</t>
  </si>
  <si>
    <t>Rozdział</t>
  </si>
  <si>
    <t>Paragraf</t>
  </si>
  <si>
    <t>Pozycja</t>
  </si>
  <si>
    <t>Zadanie</t>
  </si>
  <si>
    <t>Kwota</t>
  </si>
  <si>
    <t>Sprawdzono pod względem merytorycznym</t>
  </si>
  <si>
    <t>Sprawdzono pod względem formalnym i rachunkowym</t>
  </si>
  <si>
    <t>Zatwierdzono do wypłaty</t>
  </si>
  <si>
    <t>Przewodniczący Zarządu</t>
  </si>
  <si>
    <t>Główny księgowy</t>
  </si>
  <si>
    <t>Dyrektor</t>
  </si>
  <si>
    <t xml:space="preserve">Powyższą zaliczkę otrzymałem i zobowiązuje się rozliczyć do dnia ................................., oświadczając jednocześnie, że pozostaję świadomym odpowiedzialności prawnej za powierzone mienie Gminy Wrocław.
…...............................................................
Seria i numer dowodu osobistego
</t>
  </si>
  <si>
    <t>Dział</t>
  </si>
  <si>
    <t>a</t>
  </si>
  <si>
    <t>b</t>
  </si>
  <si>
    <t>c</t>
  </si>
  <si>
    <t>Etykiety wierszy</t>
  </si>
  <si>
    <t>Suma końcowa</t>
  </si>
  <si>
    <t>Suma z 1</t>
  </si>
  <si>
    <t>aa</t>
  </si>
  <si>
    <t>pieczęć Zarządu Osiedla</t>
  </si>
  <si>
    <t>Fundusz</t>
  </si>
  <si>
    <t>Data, podpis i pieczątka</t>
  </si>
  <si>
    <t>Lp</t>
  </si>
  <si>
    <t>Razem do wypłaty:</t>
  </si>
  <si>
    <t>Słownie:</t>
  </si>
  <si>
    <t>Numer dokumentu 
WCRS</t>
  </si>
  <si>
    <t xml:space="preserve">Zaliczkę wypłacono
</t>
  </si>
  <si>
    <t>.................................
data i podpis zaliczkobiorcy</t>
  </si>
  <si>
    <t>............................................
data i podpis kasjera</t>
  </si>
  <si>
    <t>WNIOSEK O WYPŁATĘ ZALICZKI Z KASY WCRS</t>
  </si>
  <si>
    <t xml:space="preserve">Data:  </t>
  </si>
  <si>
    <t>Nazwa przedmiotu, materiału lub usługi</t>
  </si>
  <si>
    <t>grosze:</t>
  </si>
  <si>
    <t>bez groszy</t>
  </si>
  <si>
    <t>10-tysiące</t>
  </si>
  <si>
    <t>10-19 tysięcy</t>
  </si>
  <si>
    <t>1-tysiące</t>
  </si>
  <si>
    <t>tysiące przy okrągłych</t>
  </si>
  <si>
    <t>setki</t>
  </si>
  <si>
    <t>dziesiątki</t>
  </si>
  <si>
    <t>10-19</t>
  </si>
  <si>
    <t>poj</t>
  </si>
  <si>
    <t>zł</t>
  </si>
  <si>
    <t>4210/999</t>
  </si>
  <si>
    <t>06 koszty administracyjne</t>
  </si>
  <si>
    <t>B_GW</t>
  </si>
  <si>
    <t>WCRS/B/09</t>
  </si>
  <si>
    <t>3030/999</t>
  </si>
  <si>
    <t>4220/999</t>
  </si>
  <si>
    <t>klub seniora</t>
  </si>
  <si>
    <t>4300/999</t>
  </si>
  <si>
    <t>festyn</t>
  </si>
  <si>
    <t>DSS/B/02</t>
  </si>
  <si>
    <t>4430/001</t>
  </si>
  <si>
    <t>10 wycieczki</t>
  </si>
  <si>
    <t>diety za 07/2020 uchwała XXX/130/20</t>
  </si>
  <si>
    <t>zakup papieru do drukarki, długopisów, kartek samoprzylepnych na potrzeby biura osiedla</t>
  </si>
  <si>
    <t xml:space="preserve">zakup ciastek, plauszków, wody mineralnej na spotkanie klubu seniora </t>
  </si>
  <si>
    <t>zakup taśm, flamastrów na potrzeby organizacji konkursów podczas festynu</t>
  </si>
  <si>
    <t>zakup znaczków pocztowych na potrzeby wysyłki korespondencji biura osiedla</t>
  </si>
  <si>
    <t>zakup ubezpieczenia wycieczki</t>
  </si>
  <si>
    <t>Jan Kowalski (DRUK Z PRZYKŁADOWYM WYPEŁNIENIEM)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</si>
</sst>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\-0.00\ 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9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5" fillId="0" borderId="0" xfId="0" applyFont="1"/>
    <xf numFmtId="49" fontId="0" fillId="0" borderId="0" xfId="0" applyNumberFormat="1" applyAlignment="1" applyProtection="1">
      <alignment horizontal="center"/>
      <protection hidden="1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29" xfId="0" applyFont="1" applyFill="1" applyBorder="1" applyAlignment="1" applyProtection="1">
      <alignment horizontal="left" vertical="top" wrapText="1"/>
      <protection locked="0"/>
    </xf>
    <xf numFmtId="0" fontId="3" fillId="2" borderId="30" xfId="0" applyFont="1" applyFill="1" applyBorder="1" applyAlignment="1" applyProtection="1">
      <alignment horizontal="left" vertical="top" wrapText="1"/>
      <protection locked="0"/>
    </xf>
    <xf numFmtId="0" fontId="3" fillId="2" borderId="25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4" fontId="3" fillId="2" borderId="25" xfId="0" applyNumberFormat="1" applyFont="1" applyFill="1" applyBorder="1" applyAlignment="1" applyProtection="1">
      <alignment horizontal="right" vertical="center" indent="1"/>
      <protection locked="0"/>
    </xf>
    <xf numFmtId="4" fontId="3" fillId="2" borderId="27" xfId="0" applyNumberFormat="1" applyFont="1" applyFill="1" applyBorder="1" applyAlignment="1" applyProtection="1">
      <alignment horizontal="right" vertical="center" indent="1"/>
      <protection locked="0"/>
    </xf>
    <xf numFmtId="0" fontId="4" fillId="0" borderId="3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" fontId="3" fillId="0" borderId="26" xfId="0" applyNumberFormat="1" applyFont="1" applyBorder="1" applyAlignment="1">
      <alignment horizontal="right" vertical="center" indent="1"/>
    </xf>
    <xf numFmtId="0" fontId="4" fillId="0" borderId="2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2" borderId="21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2" borderId="29" xfId="0" applyFont="1" applyFill="1" applyBorder="1" applyAlignment="1" applyProtection="1">
      <alignment horizontal="left" vertical="top"/>
      <protection locked="0"/>
    </xf>
    <xf numFmtId="0" fontId="3" fillId="2" borderId="30" xfId="0" applyFont="1" applyFill="1" applyBorder="1" applyAlignment="1" applyProtection="1">
      <alignment horizontal="left" vertical="top"/>
      <protection locked="0"/>
    </xf>
    <xf numFmtId="0" fontId="4" fillId="0" borderId="27" xfId="0" applyFont="1" applyBorder="1" applyAlignment="1">
      <alignment horizontal="center" vertical="center"/>
    </xf>
    <xf numFmtId="1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żytkownik" refreshedDate="43832.402086574075" createdVersion="6" refreshedVersion="6" minRefreshableVersion="3" recordCount="3" xr:uid="{7C18E2E9-33AB-4D93-86D1-4CA8209E5A49}">
  <cacheSource type="worksheet">
    <worksheetSource ref="A1:B4" sheet="Arkusz2"/>
  </cacheSource>
  <cacheFields count="2">
    <cacheField name="a" numFmtId="0">
      <sharedItems count="3">
        <s v="aa"/>
        <s v="b"/>
        <s v="c"/>
      </sharedItems>
    </cacheField>
    <cacheField name="1" numFmtId="0">
      <sharedItems containsSemiMixedTypes="0" containsString="0" containsNumber="1" containsInteger="1" minValue="2" maxValue="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x v="0"/>
    <n v="11"/>
  </r>
  <r>
    <x v="1"/>
    <n v="2"/>
  </r>
  <r>
    <x v="2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B6473C-538E-4CFB-A08B-EFACA2885E95}" name="Tabela przestawna1" cacheId="0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outline="1" outlineData="1" multipleFieldFilters="0">
  <location ref="A3:C20" firstHeaderRow="1" firstDataRow="1" firstDataCol="0"/>
  <pivotFields count="2"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5ADA95E-EE2F-4358-9E37-10E0BB306D63}" name="Tabela przestawna2" cacheId="0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outline="1" outlineData="1" multipleFieldFilters="0">
  <location ref="A3:B7" firstHeaderRow="1" firstDataRow="1" firstDataCol="1"/>
  <pivotFields count="2">
    <pivotField axis="axisRow" showAll="0">
      <items count="4">
        <item x="1"/>
        <item x="2"/>
        <item x="0"/>
        <item t="default"/>
      </items>
    </pivotField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a z 1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D9D0A-B4C5-48B9-AF6A-E211C47795AE}">
  <dimension ref="A1:L70"/>
  <sheetViews>
    <sheetView tabSelected="1" workbookViewId="0">
      <selection activeCell="N15" sqref="N15"/>
    </sheetView>
  </sheetViews>
  <sheetFormatPr defaultRowHeight="11.25" x14ac:dyDescent="0.15"/>
  <cols>
    <col min="1" max="1" width="3.28515625" style="1" customWidth="1"/>
    <col min="2" max="2" width="6.85546875" style="1" customWidth="1"/>
    <col min="3" max="3" width="10.5703125" style="1" customWidth="1"/>
    <col min="4" max="5" width="6" style="1" customWidth="1"/>
    <col min="6" max="8" width="9.42578125" style="1" customWidth="1"/>
    <col min="9" max="10" width="5.7109375" style="1" customWidth="1"/>
    <col min="11" max="12" width="7.140625" style="1" customWidth="1"/>
    <col min="13" max="16384" width="9.140625" style="1"/>
  </cols>
  <sheetData>
    <row r="1" spans="1:12" ht="15" customHeight="1" x14ac:dyDescent="0.15">
      <c r="A1" s="70" t="s">
        <v>22</v>
      </c>
      <c r="B1" s="71"/>
      <c r="C1" s="71"/>
      <c r="D1" s="72"/>
      <c r="E1" s="82"/>
      <c r="F1" s="83"/>
      <c r="G1" s="83"/>
      <c r="H1" s="80" t="s">
        <v>33</v>
      </c>
      <c r="I1" s="80"/>
      <c r="J1" s="80"/>
      <c r="K1" s="67">
        <v>44029</v>
      </c>
      <c r="L1" s="68"/>
    </row>
    <row r="2" spans="1:12" ht="15" customHeight="1" x14ac:dyDescent="0.15">
      <c r="A2" s="73"/>
      <c r="B2" s="74"/>
      <c r="C2" s="74"/>
      <c r="D2" s="75"/>
      <c r="E2" s="82"/>
      <c r="F2" s="83"/>
      <c r="G2" s="83"/>
      <c r="H2" s="84"/>
      <c r="I2" s="84"/>
      <c r="J2" s="84"/>
      <c r="K2" s="84"/>
      <c r="L2" s="84"/>
    </row>
    <row r="3" spans="1:12" ht="27" customHeight="1" x14ac:dyDescent="0.15">
      <c r="A3" s="76"/>
      <c r="B3" s="77"/>
      <c r="C3" s="77"/>
      <c r="D3" s="78"/>
      <c r="E3" s="82"/>
      <c r="F3" s="83"/>
      <c r="G3" s="83"/>
      <c r="H3" s="69" t="s">
        <v>28</v>
      </c>
      <c r="I3" s="50"/>
      <c r="J3" s="50"/>
      <c r="K3" s="81"/>
      <c r="L3" s="81"/>
    </row>
    <row r="4" spans="1:12" ht="8.25" customHeight="1" x14ac:dyDescent="0.1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x14ac:dyDescent="0.15">
      <c r="A5" s="79" t="s">
        <v>32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2" ht="6" customHeight="1" x14ac:dyDescent="0.1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ht="18.95" customHeight="1" x14ac:dyDescent="0.15">
      <c r="A7" s="56" t="s">
        <v>0</v>
      </c>
      <c r="B7" s="56"/>
      <c r="C7" s="56"/>
      <c r="D7" s="57" t="s">
        <v>64</v>
      </c>
      <c r="E7" s="58"/>
      <c r="F7" s="58"/>
      <c r="G7" s="58"/>
      <c r="H7" s="58"/>
      <c r="I7" s="58"/>
      <c r="J7" s="58"/>
      <c r="K7" s="58"/>
      <c r="L7" s="59"/>
    </row>
    <row r="8" spans="1:12" ht="5.0999999999999996" customHeight="1" x14ac:dyDescent="0.1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2" ht="18.95" customHeight="1" x14ac:dyDescent="0.15">
      <c r="A9" s="56" t="s">
        <v>1</v>
      </c>
      <c r="B9" s="56"/>
      <c r="C9" s="56"/>
      <c r="D9" s="57" t="s">
        <v>10</v>
      </c>
      <c r="E9" s="58"/>
      <c r="F9" s="58"/>
      <c r="G9" s="58"/>
      <c r="H9" s="58"/>
      <c r="I9" s="58"/>
      <c r="J9" s="58"/>
      <c r="K9" s="58"/>
      <c r="L9" s="59"/>
    </row>
    <row r="10" spans="1:12" ht="5.0999999999999996" customHeight="1" thickBot="1" x14ac:dyDescent="0.2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</row>
    <row r="11" spans="1:12" s="15" customFormat="1" ht="14.25" customHeight="1" x14ac:dyDescent="0.15">
      <c r="A11" s="19" t="s">
        <v>25</v>
      </c>
      <c r="B11" s="20" t="s">
        <v>14</v>
      </c>
      <c r="C11" s="20" t="s">
        <v>2</v>
      </c>
      <c r="D11" s="62" t="s">
        <v>3</v>
      </c>
      <c r="E11" s="62"/>
      <c r="F11" s="62" t="s">
        <v>4</v>
      </c>
      <c r="G11" s="62"/>
      <c r="H11" s="20" t="s">
        <v>23</v>
      </c>
      <c r="I11" s="62" t="s">
        <v>5</v>
      </c>
      <c r="J11" s="62"/>
      <c r="K11" s="62" t="s">
        <v>6</v>
      </c>
      <c r="L11" s="66"/>
    </row>
    <row r="12" spans="1:12" s="15" customFormat="1" ht="14.25" customHeight="1" thickBot="1" x14ac:dyDescent="0.2">
      <c r="A12" s="85" t="s">
        <v>34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7"/>
    </row>
    <row r="13" spans="1:12" s="15" customFormat="1" ht="6" customHeight="1" thickBot="1" x14ac:dyDescent="0.2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4" spans="1:12" s="16" customFormat="1" ht="18.95" customHeight="1" x14ac:dyDescent="0.25">
      <c r="A14" s="39">
        <v>1</v>
      </c>
      <c r="B14" s="22">
        <v>750</v>
      </c>
      <c r="C14" s="21">
        <v>75022</v>
      </c>
      <c r="D14" s="46" t="s">
        <v>50</v>
      </c>
      <c r="E14" s="46"/>
      <c r="F14" s="43" t="s">
        <v>47</v>
      </c>
      <c r="G14" s="43"/>
      <c r="H14" s="21" t="s">
        <v>48</v>
      </c>
      <c r="I14" s="46" t="s">
        <v>49</v>
      </c>
      <c r="J14" s="46"/>
      <c r="K14" s="47">
        <v>500</v>
      </c>
      <c r="L14" s="48"/>
    </row>
    <row r="15" spans="1:12" s="15" customFormat="1" ht="29.1" customHeight="1" thickBot="1" x14ac:dyDescent="0.2">
      <c r="A15" s="40"/>
      <c r="B15" s="41" t="s">
        <v>58</v>
      </c>
      <c r="C15" s="64"/>
      <c r="D15" s="64"/>
      <c r="E15" s="64"/>
      <c r="F15" s="64"/>
      <c r="G15" s="64"/>
      <c r="H15" s="64"/>
      <c r="I15" s="64"/>
      <c r="J15" s="64"/>
      <c r="K15" s="64"/>
      <c r="L15" s="65"/>
    </row>
    <row r="16" spans="1:12" s="2" customFormat="1" ht="5.0999999999999996" customHeight="1" thickBot="1" x14ac:dyDescent="0.2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</row>
    <row r="17" spans="1:12" ht="18.95" customHeight="1" x14ac:dyDescent="0.15">
      <c r="A17" s="39">
        <v>2</v>
      </c>
      <c r="B17" s="22">
        <v>750</v>
      </c>
      <c r="C17" s="21">
        <v>75022</v>
      </c>
      <c r="D17" s="46" t="s">
        <v>46</v>
      </c>
      <c r="E17" s="46"/>
      <c r="F17" s="43" t="s">
        <v>47</v>
      </c>
      <c r="G17" s="43"/>
      <c r="H17" s="26" t="s">
        <v>48</v>
      </c>
      <c r="I17" s="46" t="s">
        <v>49</v>
      </c>
      <c r="J17" s="46"/>
      <c r="K17" s="47">
        <v>120</v>
      </c>
      <c r="L17" s="48"/>
    </row>
    <row r="18" spans="1:12" ht="29.1" customHeight="1" thickBot="1" x14ac:dyDescent="0.2">
      <c r="A18" s="40"/>
      <c r="B18" s="41" t="s">
        <v>59</v>
      </c>
      <c r="C18" s="64"/>
      <c r="D18" s="64"/>
      <c r="E18" s="64"/>
      <c r="F18" s="64"/>
      <c r="G18" s="64"/>
      <c r="H18" s="64"/>
      <c r="I18" s="64"/>
      <c r="J18" s="64"/>
      <c r="K18" s="64"/>
      <c r="L18" s="65"/>
    </row>
    <row r="19" spans="1:12" s="2" customFormat="1" ht="5.0999999999999996" customHeight="1" thickBot="1" x14ac:dyDescent="0.2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</row>
    <row r="20" spans="1:12" ht="18.95" customHeight="1" x14ac:dyDescent="0.15">
      <c r="A20" s="39">
        <v>3</v>
      </c>
      <c r="B20" s="22">
        <v>853</v>
      </c>
      <c r="C20" s="21">
        <v>85395</v>
      </c>
      <c r="D20" s="46" t="s">
        <v>51</v>
      </c>
      <c r="E20" s="46"/>
      <c r="F20" s="43" t="s">
        <v>52</v>
      </c>
      <c r="G20" s="43"/>
      <c r="H20" s="21" t="s">
        <v>48</v>
      </c>
      <c r="I20" s="46" t="s">
        <v>49</v>
      </c>
      <c r="J20" s="46"/>
      <c r="K20" s="47">
        <v>400</v>
      </c>
      <c r="L20" s="48"/>
    </row>
    <row r="21" spans="1:12" ht="29.1" customHeight="1" thickBot="1" x14ac:dyDescent="0.2">
      <c r="A21" s="40"/>
      <c r="B21" s="41" t="s">
        <v>60</v>
      </c>
      <c r="C21" s="41"/>
      <c r="D21" s="41"/>
      <c r="E21" s="41"/>
      <c r="F21" s="41"/>
      <c r="G21" s="41"/>
      <c r="H21" s="41"/>
      <c r="I21" s="41"/>
      <c r="J21" s="41"/>
      <c r="K21" s="41"/>
      <c r="L21" s="42"/>
    </row>
    <row r="22" spans="1:12" ht="5.0999999999999996" customHeight="1" thickBo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2" ht="18.95" customHeight="1" x14ac:dyDescent="0.15">
      <c r="A23" s="39">
        <v>4</v>
      </c>
      <c r="B23" s="22">
        <v>853</v>
      </c>
      <c r="C23" s="21">
        <v>85395</v>
      </c>
      <c r="D23" s="46" t="s">
        <v>46</v>
      </c>
      <c r="E23" s="46"/>
      <c r="F23" s="43" t="s">
        <v>54</v>
      </c>
      <c r="G23" s="43"/>
      <c r="H23" s="21" t="s">
        <v>48</v>
      </c>
      <c r="I23" s="46" t="s">
        <v>55</v>
      </c>
      <c r="J23" s="46"/>
      <c r="K23" s="47">
        <v>600</v>
      </c>
      <c r="L23" s="48"/>
    </row>
    <row r="24" spans="1:12" ht="29.1" customHeight="1" thickBot="1" x14ac:dyDescent="0.2">
      <c r="A24" s="40"/>
      <c r="B24" s="41" t="s">
        <v>61</v>
      </c>
      <c r="C24" s="41"/>
      <c r="D24" s="41"/>
      <c r="E24" s="41"/>
      <c r="F24" s="41"/>
      <c r="G24" s="41"/>
      <c r="H24" s="41"/>
      <c r="I24" s="41"/>
      <c r="J24" s="41"/>
      <c r="K24" s="41"/>
      <c r="L24" s="42"/>
    </row>
    <row r="25" spans="1:12" ht="5.0999999999999996" customHeight="1" thickBot="1" x14ac:dyDescent="0.2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</row>
    <row r="26" spans="1:12" ht="18.95" customHeight="1" x14ac:dyDescent="0.15">
      <c r="A26" s="39">
        <v>5</v>
      </c>
      <c r="B26" s="22">
        <v>750</v>
      </c>
      <c r="C26" s="21">
        <v>75022</v>
      </c>
      <c r="D26" s="46" t="s">
        <v>53</v>
      </c>
      <c r="E26" s="46"/>
      <c r="F26" s="43" t="s">
        <v>47</v>
      </c>
      <c r="G26" s="43"/>
      <c r="H26" s="27" t="s">
        <v>48</v>
      </c>
      <c r="I26" s="46" t="s">
        <v>49</v>
      </c>
      <c r="J26" s="46"/>
      <c r="K26" s="47">
        <v>50</v>
      </c>
      <c r="L26" s="48"/>
    </row>
    <row r="27" spans="1:12" ht="29.1" customHeight="1" thickBot="1" x14ac:dyDescent="0.2">
      <c r="A27" s="40"/>
      <c r="B27" s="41" t="s">
        <v>62</v>
      </c>
      <c r="C27" s="41"/>
      <c r="D27" s="41"/>
      <c r="E27" s="41"/>
      <c r="F27" s="41"/>
      <c r="G27" s="41"/>
      <c r="H27" s="41"/>
      <c r="I27" s="41"/>
      <c r="J27" s="41"/>
      <c r="K27" s="41"/>
      <c r="L27" s="42"/>
    </row>
    <row r="28" spans="1:12" ht="5.0999999999999996" customHeight="1" thickBot="1" x14ac:dyDescent="0.2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</row>
    <row r="29" spans="1:12" ht="18.95" customHeight="1" x14ac:dyDescent="0.15">
      <c r="A29" s="39">
        <v>6</v>
      </c>
      <c r="B29" s="22">
        <v>750</v>
      </c>
      <c r="C29" s="21">
        <v>75022</v>
      </c>
      <c r="D29" s="46" t="s">
        <v>56</v>
      </c>
      <c r="E29" s="46"/>
      <c r="F29" s="43" t="s">
        <v>57</v>
      </c>
      <c r="G29" s="43"/>
      <c r="H29" s="28" t="s">
        <v>48</v>
      </c>
      <c r="I29" s="46" t="s">
        <v>49</v>
      </c>
      <c r="J29" s="46"/>
      <c r="K29" s="47">
        <v>70</v>
      </c>
      <c r="L29" s="48"/>
    </row>
    <row r="30" spans="1:12" ht="29.1" customHeight="1" thickBot="1" x14ac:dyDescent="0.2">
      <c r="A30" s="40"/>
      <c r="B30" s="41" t="s">
        <v>63</v>
      </c>
      <c r="C30" s="41"/>
      <c r="D30" s="41"/>
      <c r="E30" s="41"/>
      <c r="F30" s="41"/>
      <c r="G30" s="41"/>
      <c r="H30" s="41"/>
      <c r="I30" s="41"/>
      <c r="J30" s="41"/>
      <c r="K30" s="41"/>
      <c r="L30" s="42"/>
    </row>
    <row r="31" spans="1:12" ht="18.95" customHeight="1" thickBot="1" x14ac:dyDescent="0.2">
      <c r="A31" s="53" t="s">
        <v>26</v>
      </c>
      <c r="B31" s="53"/>
      <c r="C31" s="53"/>
      <c r="D31" s="53"/>
      <c r="E31" s="53"/>
      <c r="F31" s="53"/>
      <c r="G31" s="53"/>
      <c r="H31" s="53"/>
      <c r="I31" s="53"/>
      <c r="J31" s="53"/>
      <c r="K31" s="52">
        <f>IF(AND(K14="",K17="",K20="",K23="",K26="",K29=""),"",(ROUND(K14,2)+ROUND(K17,2)+ROUND(K20,2)+ROUND(K23,2)+ROUND(K26,2)+ROUND(K29,2) ))</f>
        <v>1740</v>
      </c>
      <c r="L31" s="52"/>
    </row>
    <row r="32" spans="1:12" ht="10.5" customHeight="1" thickBot="1" x14ac:dyDescent="0.2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ht="18.95" customHeight="1" thickBot="1" x14ac:dyDescent="0.2">
      <c r="A33" s="53" t="s">
        <v>27</v>
      </c>
      <c r="B33" s="53"/>
      <c r="C33" s="53"/>
      <c r="D33" s="55" t="str">
        <f>IF(AND(K14="",K17="",K20="",K23="",K26="",K29=""),"",A63)</f>
        <v>jeden tysiąc siedemset czterdzieści zł zero gr</v>
      </c>
      <c r="E33" s="55"/>
      <c r="F33" s="55"/>
      <c r="G33" s="55"/>
      <c r="H33" s="55"/>
      <c r="I33" s="55"/>
      <c r="J33" s="55"/>
      <c r="K33" s="55"/>
      <c r="L33" s="55"/>
    </row>
    <row r="34" spans="1:12" ht="6" customHeight="1" x14ac:dyDescent="0.1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1:12" ht="29.1" customHeight="1" x14ac:dyDescent="0.15">
      <c r="A35" s="54" t="s">
        <v>7</v>
      </c>
      <c r="B35" s="54"/>
      <c r="C35" s="54"/>
      <c r="D35" s="54"/>
      <c r="E35" s="54" t="s">
        <v>8</v>
      </c>
      <c r="F35" s="54"/>
      <c r="G35" s="54"/>
      <c r="H35" s="54"/>
      <c r="I35" s="31" t="s">
        <v>9</v>
      </c>
      <c r="J35" s="31"/>
      <c r="K35" s="31"/>
      <c r="L35" s="31"/>
    </row>
    <row r="36" spans="1:12" s="18" customFormat="1" ht="15.75" customHeight="1" x14ac:dyDescent="0.25">
      <c r="A36" s="50" t="s">
        <v>10</v>
      </c>
      <c r="B36" s="50"/>
      <c r="C36" s="50"/>
      <c r="D36" s="50"/>
      <c r="E36" s="50" t="s">
        <v>11</v>
      </c>
      <c r="F36" s="50"/>
      <c r="G36" s="50"/>
      <c r="H36" s="50"/>
      <c r="I36" s="50" t="s">
        <v>12</v>
      </c>
      <c r="J36" s="50"/>
      <c r="K36" s="50"/>
      <c r="L36" s="50"/>
    </row>
    <row r="37" spans="1:12" s="17" customFormat="1" ht="48.75" customHeight="1" x14ac:dyDescent="0.25">
      <c r="A37" s="32"/>
      <c r="B37" s="32"/>
      <c r="C37" s="32"/>
      <c r="D37" s="32"/>
      <c r="E37" s="31"/>
      <c r="F37" s="31"/>
      <c r="G37" s="31"/>
      <c r="H37" s="31"/>
      <c r="I37" s="31"/>
      <c r="J37" s="31"/>
      <c r="K37" s="31"/>
      <c r="L37" s="31"/>
    </row>
    <row r="38" spans="1:12" s="17" customFormat="1" ht="15" customHeight="1" x14ac:dyDescent="0.25">
      <c r="A38" s="31" t="s">
        <v>24</v>
      </c>
      <c r="B38" s="31"/>
      <c r="C38" s="31"/>
      <c r="D38" s="31"/>
      <c r="E38" s="31" t="s">
        <v>24</v>
      </c>
      <c r="F38" s="31"/>
      <c r="G38" s="31"/>
      <c r="H38" s="31"/>
      <c r="I38" s="31" t="s">
        <v>24</v>
      </c>
      <c r="J38" s="31"/>
      <c r="K38" s="31"/>
      <c r="L38" s="31"/>
    </row>
    <row r="39" spans="1:12" ht="84.75" customHeight="1" x14ac:dyDescent="0.15">
      <c r="A39" s="37" t="s">
        <v>29</v>
      </c>
      <c r="B39" s="38"/>
      <c r="C39" s="38"/>
      <c r="D39" s="38"/>
      <c r="E39" s="38"/>
      <c r="F39" s="38"/>
      <c r="G39" s="35" t="s">
        <v>13</v>
      </c>
      <c r="H39" s="36"/>
      <c r="I39" s="36"/>
      <c r="J39" s="36"/>
      <c r="K39" s="36"/>
      <c r="L39" s="36"/>
    </row>
    <row r="40" spans="1:12" s="2" customFormat="1" ht="30.75" customHeight="1" x14ac:dyDescent="0.15">
      <c r="A40" s="33" t="s">
        <v>31</v>
      </c>
      <c r="B40" s="34"/>
      <c r="C40" s="34"/>
      <c r="D40" s="34"/>
      <c r="E40" s="34"/>
      <c r="F40" s="34"/>
      <c r="G40" s="33" t="s">
        <v>30</v>
      </c>
      <c r="H40" s="34"/>
      <c r="I40" s="34"/>
      <c r="J40" s="34"/>
      <c r="K40" s="34"/>
      <c r="L40" s="34"/>
    </row>
    <row r="41" spans="1:12" hidden="1" x14ac:dyDescent="0.15"/>
    <row r="42" spans="1:12" hidden="1" x14ac:dyDescent="0.15"/>
    <row r="43" spans="1:12" hidden="1" x14ac:dyDescent="0.15"/>
    <row r="44" spans="1:12" hidden="1" x14ac:dyDescent="0.15"/>
    <row r="45" spans="1:12" hidden="1" x14ac:dyDescent="0.15"/>
    <row r="46" spans="1:12" hidden="1" x14ac:dyDescent="0.15"/>
    <row r="47" spans="1:12" hidden="1" x14ac:dyDescent="0.15"/>
    <row r="48" spans="1:12" hidden="1" x14ac:dyDescent="0.15"/>
    <row r="49" spans="1:12" hidden="1" x14ac:dyDescent="0.15"/>
    <row r="50" spans="1:12" ht="15" hidden="1" x14ac:dyDescent="0.25">
      <c r="A50" s="29">
        <f>IF(K31="",0,(ABS(K31)))</f>
        <v>1740</v>
      </c>
      <c r="B50" s="29"/>
      <c r="C50" s="23" t="s">
        <v>35</v>
      </c>
      <c r="D50" s="23">
        <f>ROUNDDOWN(A50*100,0)-ROUNDDOWN(A52*100,0)</f>
        <v>0</v>
      </c>
      <c r="E50" s="23" t="str">
        <f>IF(D50=0," zero gr",CONCATENATE(" ",D50,"/100 gr"))</f>
        <v xml:space="preserve"> zero gr</v>
      </c>
      <c r="F50" s="23"/>
      <c r="G50" s="23"/>
      <c r="H50" s="23"/>
      <c r="I50" s="23"/>
      <c r="J50" s="23"/>
      <c r="K50" s="24"/>
      <c r="L50" s="24"/>
    </row>
    <row r="51" spans="1:12" ht="15" hidden="1" x14ac:dyDescent="0.25">
      <c r="A51" s="23" t="s">
        <v>36</v>
      </c>
      <c r="B51" s="23" t="s">
        <v>37</v>
      </c>
      <c r="C51" s="23" t="s">
        <v>38</v>
      </c>
      <c r="D51" s="23" t="s">
        <v>39</v>
      </c>
      <c r="E51" s="23" t="s">
        <v>40</v>
      </c>
      <c r="F51" s="23" t="s">
        <v>41</v>
      </c>
      <c r="G51" s="23" t="s">
        <v>42</v>
      </c>
      <c r="H51" s="25" t="s">
        <v>43</v>
      </c>
      <c r="I51" s="23" t="s">
        <v>44</v>
      </c>
      <c r="J51" s="23"/>
      <c r="K51" s="24"/>
      <c r="L51" s="24"/>
    </row>
    <row r="52" spans="1:12" ht="15" hidden="1" x14ac:dyDescent="0.25">
      <c r="A52" s="23">
        <f>ROUNDDOWN(A50,0)</f>
        <v>1740</v>
      </c>
      <c r="B52" s="23">
        <f>ROUNDDOWN(A52/10000,0)</f>
        <v>0</v>
      </c>
      <c r="C52" s="23">
        <f>ROUNDDOWN(A52/1000,0)</f>
        <v>1</v>
      </c>
      <c r="D52" s="23">
        <f>ROUNDDOWN((A52-(B52*10000))/1000,0)</f>
        <v>1</v>
      </c>
      <c r="E52" s="23"/>
      <c r="F52" s="23">
        <f>ROUNDDOWN((A52-((B52*10000)+(D52*1000)))/100,0)</f>
        <v>7</v>
      </c>
      <c r="G52" s="23">
        <f>ROUNDDOWN((A52-((B52*10000)+(D52*1000)+(F52*100)))/10,0)</f>
        <v>4</v>
      </c>
      <c r="H52" s="23">
        <f>ROUNDDOWN((A52-((B52*10000)+(D52*1000)+(F52*100)))/1,0)</f>
        <v>40</v>
      </c>
      <c r="I52" s="23">
        <f>ROUNDDOWN(A52-((B52*10000)+(D52*1000)+(F52*100)+(G52*10)),0)</f>
        <v>0</v>
      </c>
      <c r="J52" s="23"/>
      <c r="K52" s="24"/>
      <c r="L52" s="24"/>
    </row>
    <row r="53" spans="1:12" ht="15" hidden="1" x14ac:dyDescent="0.25">
      <c r="A53" s="23">
        <v>1</v>
      </c>
      <c r="B53" s="23" t="str">
        <f>IF(D52=0,IF(B52=1,"dziesięć ",""),"")</f>
        <v/>
      </c>
      <c r="C53" s="23" t="str">
        <f>IF(C52=11,"jedenaście tysięcy ","")</f>
        <v/>
      </c>
      <c r="D53" s="23" t="str">
        <f>IF(D52=1,IF(B52&gt;1,"jeden tysięcy ",IF(B52=1,"","jeden tysiąc ")),"")</f>
        <v xml:space="preserve">jeden tysiąc </v>
      </c>
      <c r="E53" s="23" t="str">
        <f>IF(D52=0,IF(C52=0,"","tysięcy "),"")</f>
        <v/>
      </c>
      <c r="F53" s="23" t="str">
        <f>IF(F52=1,"sto ","")</f>
        <v/>
      </c>
      <c r="G53" s="23" t="str">
        <f>IF(H52=10,"dziesięć ","")</f>
        <v/>
      </c>
      <c r="H53" s="23" t="str">
        <f>IF(H52=11,"jedenaście ","")</f>
        <v/>
      </c>
      <c r="I53" s="23" t="str">
        <f>IF(G52&lt;&gt;1,IF(I52=1,"jeden ",""),"")</f>
        <v/>
      </c>
      <c r="J53" s="23" t="str">
        <f>IF(A52=0,"zero ","")</f>
        <v/>
      </c>
      <c r="K53" s="24"/>
      <c r="L53" s="24"/>
    </row>
    <row r="54" spans="1:12" ht="15" hidden="1" x14ac:dyDescent="0.25">
      <c r="A54" s="23">
        <v>2</v>
      </c>
      <c r="B54" s="23" t="str">
        <f>IF(B52=2,"dwadzieścia ","")</f>
        <v/>
      </c>
      <c r="C54" s="23" t="str">
        <f>IF(C52=12,"dwanaście tysięcy ","")</f>
        <v/>
      </c>
      <c r="D54" s="23" t="str">
        <f>IF(B52&lt;&gt;1,IF(D52=2,"dwa tysiące ",""),"")</f>
        <v/>
      </c>
      <c r="E54" s="23"/>
      <c r="F54" s="23" t="str">
        <f>IF(F52=2,"dwieście ","")</f>
        <v/>
      </c>
      <c r="G54" s="23" t="str">
        <f>IF(G52=2,"dwadzieścia ","")</f>
        <v/>
      </c>
      <c r="H54" s="23" t="str">
        <f>IF(H52=12,"dwanaście ","")</f>
        <v/>
      </c>
      <c r="I54" s="23" t="str">
        <f>IF(G52&lt;&gt;1,IF(I52=2,"dwa ",""),"")</f>
        <v/>
      </c>
      <c r="J54" s="23" t="s">
        <v>45</v>
      </c>
      <c r="K54" s="24"/>
      <c r="L54" s="24"/>
    </row>
    <row r="55" spans="1:12" ht="15" hidden="1" x14ac:dyDescent="0.25">
      <c r="A55" s="23">
        <v>3</v>
      </c>
      <c r="B55" s="23" t="str">
        <f>IF(B52=3,"trzydzieści ","")</f>
        <v/>
      </c>
      <c r="C55" s="23" t="str">
        <f>IF(C52=13,"trzynaście tysięcy ","")</f>
        <v/>
      </c>
      <c r="D55" s="23" t="str">
        <f>IF(B52&lt;&gt;1,IF(D52=3,"trzy tysiące ",""),"")</f>
        <v/>
      </c>
      <c r="E55" s="23"/>
      <c r="F55" s="23" t="str">
        <f>IF(F52=3,"trzysta ","")</f>
        <v/>
      </c>
      <c r="G55" s="23" t="str">
        <f>IF(G52=3,"trzydzieści ","")</f>
        <v/>
      </c>
      <c r="H55" s="23" t="str">
        <f>IF(H52=13,"trzynaście ","")</f>
        <v/>
      </c>
      <c r="I55" s="23" t="str">
        <f>IF(G52&lt;&gt;1,IF(I52=3,"trzy ",""),"")</f>
        <v/>
      </c>
      <c r="J55" s="23"/>
      <c r="K55" s="24"/>
      <c r="L55" s="24"/>
    </row>
    <row r="56" spans="1:12" ht="15" hidden="1" x14ac:dyDescent="0.25">
      <c r="A56" s="23">
        <v>4</v>
      </c>
      <c r="B56" s="23" t="str">
        <f>IF(B52=4,"czterdzieści ","")</f>
        <v/>
      </c>
      <c r="C56" s="23" t="str">
        <f>IF(C52=14,"czternaście tysięcy ","")</f>
        <v/>
      </c>
      <c r="D56" s="23" t="str">
        <f>IF(B52&lt;&gt;1,IF(D52=4,"cztery tysiące ",""),"")</f>
        <v/>
      </c>
      <c r="E56" s="23"/>
      <c r="F56" s="23" t="str">
        <f>IF(F52=4,"czterysta ","")</f>
        <v/>
      </c>
      <c r="G56" s="23" t="str">
        <f>IF(G52=4,"czterdzieści ","")</f>
        <v xml:space="preserve">czterdzieści </v>
      </c>
      <c r="H56" s="23" t="str">
        <f>IF(H52=14,"czternaście ","")</f>
        <v/>
      </c>
      <c r="I56" s="23" t="str">
        <f>IF(G52&lt;&gt;1,IF(I52=4,"cztery ",""),"")</f>
        <v/>
      </c>
      <c r="J56" s="23"/>
      <c r="K56" s="24"/>
      <c r="L56" s="24"/>
    </row>
    <row r="57" spans="1:12" ht="15" hidden="1" x14ac:dyDescent="0.25">
      <c r="A57" s="23">
        <v>5</v>
      </c>
      <c r="B57" s="23" t="str">
        <f>IF(B52=5,"pięćdziesiąt ","")</f>
        <v/>
      </c>
      <c r="C57" s="23" t="str">
        <f>IF(C52=15,"piętnaście tysięcy ","")</f>
        <v/>
      </c>
      <c r="D57" s="23" t="str">
        <f>IF(B52&lt;&gt;1,IF(D52=5,"pięć tysięcy ",""),"")</f>
        <v/>
      </c>
      <c r="E57" s="23"/>
      <c r="F57" s="23" t="str">
        <f>IF(F52=5,"pięćset ","")</f>
        <v/>
      </c>
      <c r="G57" s="23" t="str">
        <f>IF(G52=5,"pięćdziesiąt ","")</f>
        <v/>
      </c>
      <c r="H57" s="23" t="str">
        <f>IF(H52=15,"piętnaście ","")</f>
        <v/>
      </c>
      <c r="I57" s="23" t="str">
        <f>IF(G52&lt;&gt;1,IF(I52=5,"pięć ",""),"")</f>
        <v/>
      </c>
      <c r="J57" s="23"/>
      <c r="K57" s="24"/>
      <c r="L57" s="24"/>
    </row>
    <row r="58" spans="1:12" ht="15" hidden="1" x14ac:dyDescent="0.25">
      <c r="A58" s="23">
        <v>6</v>
      </c>
      <c r="B58" s="23" t="str">
        <f>IF(B52=6,"sześćdziesiąt ","")</f>
        <v/>
      </c>
      <c r="C58" s="23" t="str">
        <f>IF(C52=16,"szesnaście tysięcy ","")</f>
        <v/>
      </c>
      <c r="D58" s="23" t="str">
        <f>IF(B52&lt;&gt;1,IF(D52=6,"sześć tysięcy ",""),"")</f>
        <v/>
      </c>
      <c r="E58" s="23"/>
      <c r="F58" s="23" t="str">
        <f>IF(F52=6,"sześćset ","")</f>
        <v/>
      </c>
      <c r="G58" s="23" t="str">
        <f>IF(G52=6,"sześćdziesiąt ","")</f>
        <v/>
      </c>
      <c r="H58" s="23" t="str">
        <f>IF(H52=16,"szesnaście ","")</f>
        <v/>
      </c>
      <c r="I58" s="23" t="str">
        <f>IF(G52&lt;&gt;1,IF(I52=6,"sześć ",""),"")</f>
        <v/>
      </c>
      <c r="J58" s="23"/>
      <c r="K58" s="24"/>
      <c r="L58" s="24"/>
    </row>
    <row r="59" spans="1:12" ht="15" hidden="1" x14ac:dyDescent="0.25">
      <c r="A59" s="23">
        <v>7</v>
      </c>
      <c r="B59" s="23" t="str">
        <f>IF(B52=7,"siedemdziesiąt ","")</f>
        <v/>
      </c>
      <c r="C59" s="23" t="str">
        <f>IF(C52=17,"siedemnaście tysięcy ","")</f>
        <v/>
      </c>
      <c r="D59" s="23" t="str">
        <f>IF(B52&lt;&gt;1,IF(D52=7,"siedem tysięcy ",""),"")</f>
        <v/>
      </c>
      <c r="E59" s="23"/>
      <c r="F59" s="23" t="str">
        <f>IF(F52=7,"siedemset ","")</f>
        <v xml:space="preserve">siedemset </v>
      </c>
      <c r="G59" s="23" t="str">
        <f>IF(G52=7,"siedemdziesiąt ","")</f>
        <v/>
      </c>
      <c r="H59" s="23" t="str">
        <f>IF(H52=17,"siedemnaście ","")</f>
        <v/>
      </c>
      <c r="I59" s="23" t="str">
        <f>IF(G52&lt;&gt;1,IF(I52=7,"siedem ",""),"")</f>
        <v/>
      </c>
      <c r="J59" s="23"/>
      <c r="K59" s="24"/>
      <c r="L59" s="24"/>
    </row>
    <row r="60" spans="1:12" ht="15" hidden="1" x14ac:dyDescent="0.25">
      <c r="A60" s="23">
        <v>8</v>
      </c>
      <c r="B60" s="23" t="str">
        <f>IF(B52=8,"osiemdziesiąt ","")</f>
        <v/>
      </c>
      <c r="C60" s="23" t="str">
        <f>IF(C52=18,"osiemnaście tysięcy ","")</f>
        <v/>
      </c>
      <c r="D60" s="23" t="str">
        <f>IF(B52&lt;&gt;1,IF(D52=8,"osiem tysięcy ",""),"")</f>
        <v/>
      </c>
      <c r="E60" s="23"/>
      <c r="F60" s="23" t="str">
        <f>IF(F52=8,"osiemset ","")</f>
        <v/>
      </c>
      <c r="G60" s="23" t="str">
        <f>IF(G52=8,"osiemdziesiąt ","")</f>
        <v/>
      </c>
      <c r="H60" s="23" t="str">
        <f>IF(H52=18,"osiemnaście ","")</f>
        <v/>
      </c>
      <c r="I60" s="23" t="str">
        <f>IF(G52&lt;&gt;1,IF(I52=8,"osiem ",""),"")</f>
        <v/>
      </c>
      <c r="J60" s="23"/>
      <c r="K60" s="24"/>
      <c r="L60" s="24"/>
    </row>
    <row r="61" spans="1:12" ht="15" hidden="1" x14ac:dyDescent="0.25">
      <c r="A61" s="23">
        <v>9</v>
      </c>
      <c r="B61" s="23" t="str">
        <f>IF(B52=9,"dziewięćdziesiąt ","")</f>
        <v/>
      </c>
      <c r="C61" s="23" t="str">
        <f>IF(C52=19,"dziewiętnaście tysięcy ","")</f>
        <v/>
      </c>
      <c r="D61" s="23" t="str">
        <f>IF(B52&lt;&gt;1,IF(D52=9,"dziewięć tysięcy ",""),"")</f>
        <v/>
      </c>
      <c r="E61" s="23"/>
      <c r="F61" s="23" t="str">
        <f>IF(F52=9,"dziewięćset ","")</f>
        <v/>
      </c>
      <c r="G61" s="23" t="str">
        <f>IF(G52=9,"dziewięćdziesiąt ","")</f>
        <v/>
      </c>
      <c r="H61" s="23" t="str">
        <f>IF(H52=19,"dziewiętnaście ","")</f>
        <v/>
      </c>
      <c r="I61" s="23" t="str">
        <f>IF(G52&lt;&gt;1,IF(I52=9,"dziewięć ",""),"")</f>
        <v/>
      </c>
      <c r="J61" s="23"/>
      <c r="K61" s="24"/>
      <c r="L61" s="24"/>
    </row>
    <row r="62" spans="1:12" ht="15" hidden="1" x14ac:dyDescent="0.25">
      <c r="A62" s="23" t="str">
        <f>IF(G27&lt;0,"minus ","")</f>
        <v/>
      </c>
      <c r="B62" s="23" t="str">
        <f t="shared" ref="B62:J62" si="0">CONCATENATE(B53,B54,B55,B56,B57,B58,B59,B60,B61)</f>
        <v/>
      </c>
      <c r="C62" s="23" t="str">
        <f t="shared" si="0"/>
        <v/>
      </c>
      <c r="D62" s="23" t="str">
        <f t="shared" si="0"/>
        <v xml:space="preserve">jeden tysiąc </v>
      </c>
      <c r="E62" s="23" t="str">
        <f t="shared" si="0"/>
        <v/>
      </c>
      <c r="F62" s="23" t="str">
        <f t="shared" si="0"/>
        <v xml:space="preserve">siedemset </v>
      </c>
      <c r="G62" s="23" t="str">
        <f t="shared" si="0"/>
        <v xml:space="preserve">czterdzieści </v>
      </c>
      <c r="H62" s="23" t="str">
        <f t="shared" si="0"/>
        <v/>
      </c>
      <c r="I62" s="23" t="str">
        <f t="shared" si="0"/>
        <v/>
      </c>
      <c r="J62" s="23" t="str">
        <f t="shared" si="0"/>
        <v>zł</v>
      </c>
      <c r="K62" s="24"/>
      <c r="L62" s="24"/>
    </row>
    <row r="63" spans="1:12" ht="15" hidden="1" x14ac:dyDescent="0.25">
      <c r="A63" s="30" t="str">
        <f>CONCATENATE(A62,B62,C62,D62,E62,F62,G62,H62,I62,J62,E50)</f>
        <v>jeden tysiąc siedemset czterdzieści zł zero gr</v>
      </c>
      <c r="B63" s="30"/>
      <c r="C63" s="30"/>
      <c r="D63" s="30"/>
      <c r="E63" s="23"/>
      <c r="F63" s="23"/>
      <c r="G63" s="23"/>
      <c r="H63" s="23"/>
      <c r="I63" s="23"/>
      <c r="J63" s="23"/>
      <c r="K63" s="24"/>
      <c r="L63" s="24"/>
    </row>
    <row r="64" spans="1:12" hidden="1" x14ac:dyDescent="0.15"/>
    <row r="65" hidden="1" x14ac:dyDescent="0.15"/>
    <row r="66" hidden="1" x14ac:dyDescent="0.15"/>
    <row r="67" hidden="1" x14ac:dyDescent="0.15"/>
    <row r="68" hidden="1" x14ac:dyDescent="0.15"/>
    <row r="69" hidden="1" x14ac:dyDescent="0.15"/>
    <row r="70" hidden="1" x14ac:dyDescent="0.15"/>
  </sheetData>
  <sheetProtection algorithmName="SHA-512" hashValue="2SzJfsEoEUj2NsfgzsFP36bWKGRR5sqWOSlTUWI2B8XgKnt+Mft67q70K+LuoI8s/1lYMcK6vbRSawl/gtthkg==" saltValue="l9ejkFfk4AXiNgoB8GF9YA==" spinCount="100000" sheet="1" objects="1" scenarios="1"/>
  <mergeCells count="87">
    <mergeCell ref="D14:E14"/>
    <mergeCell ref="F17:G17"/>
    <mergeCell ref="F20:G20"/>
    <mergeCell ref="A6:L6"/>
    <mergeCell ref="I11:J11"/>
    <mergeCell ref="I14:J14"/>
    <mergeCell ref="A12:L12"/>
    <mergeCell ref="A17:A18"/>
    <mergeCell ref="B18:L18"/>
    <mergeCell ref="A20:A21"/>
    <mergeCell ref="B21:L21"/>
    <mergeCell ref="K1:L1"/>
    <mergeCell ref="H3:J3"/>
    <mergeCell ref="A1:D3"/>
    <mergeCell ref="A4:L4"/>
    <mergeCell ref="A5:L5"/>
    <mergeCell ref="H1:J1"/>
    <mergeCell ref="K3:L3"/>
    <mergeCell ref="E1:G3"/>
    <mergeCell ref="H2:L2"/>
    <mergeCell ref="A33:C33"/>
    <mergeCell ref="D33:L33"/>
    <mergeCell ref="A7:C7"/>
    <mergeCell ref="A9:C9"/>
    <mergeCell ref="D7:L7"/>
    <mergeCell ref="D9:L9"/>
    <mergeCell ref="A10:L10"/>
    <mergeCell ref="A8:L8"/>
    <mergeCell ref="D11:E11"/>
    <mergeCell ref="F11:G11"/>
    <mergeCell ref="F14:G14"/>
    <mergeCell ref="A13:L13"/>
    <mergeCell ref="A14:A15"/>
    <mergeCell ref="B15:L15"/>
    <mergeCell ref="K14:L14"/>
    <mergeCell ref="K11:L11"/>
    <mergeCell ref="A36:D36"/>
    <mergeCell ref="E36:H36"/>
    <mergeCell ref="I36:L36"/>
    <mergeCell ref="D26:E26"/>
    <mergeCell ref="I26:J26"/>
    <mergeCell ref="K26:L26"/>
    <mergeCell ref="D29:E29"/>
    <mergeCell ref="I29:J29"/>
    <mergeCell ref="K29:L29"/>
    <mergeCell ref="A34:L34"/>
    <mergeCell ref="K31:L31"/>
    <mergeCell ref="A31:J31"/>
    <mergeCell ref="A35:D35"/>
    <mergeCell ref="E35:H35"/>
    <mergeCell ref="A26:A27"/>
    <mergeCell ref="B27:L27"/>
    <mergeCell ref="I35:L35"/>
    <mergeCell ref="A16:L16"/>
    <mergeCell ref="I23:J23"/>
    <mergeCell ref="K23:L23"/>
    <mergeCell ref="A22:L22"/>
    <mergeCell ref="D23:E23"/>
    <mergeCell ref="K17:L17"/>
    <mergeCell ref="D17:E17"/>
    <mergeCell ref="I17:J17"/>
    <mergeCell ref="D20:E20"/>
    <mergeCell ref="I20:J20"/>
    <mergeCell ref="K20:L20"/>
    <mergeCell ref="A19:L19"/>
    <mergeCell ref="A23:A24"/>
    <mergeCell ref="B24:L24"/>
    <mergeCell ref="A32:L32"/>
    <mergeCell ref="A29:A30"/>
    <mergeCell ref="B30:L30"/>
    <mergeCell ref="F23:G23"/>
    <mergeCell ref="F26:G26"/>
    <mergeCell ref="F29:G29"/>
    <mergeCell ref="A28:L28"/>
    <mergeCell ref="A25:L25"/>
    <mergeCell ref="A50:B50"/>
    <mergeCell ref="A63:D63"/>
    <mergeCell ref="A38:D38"/>
    <mergeCell ref="A37:D37"/>
    <mergeCell ref="E38:H38"/>
    <mergeCell ref="E37:H37"/>
    <mergeCell ref="A40:F40"/>
    <mergeCell ref="G40:L40"/>
    <mergeCell ref="G39:L39"/>
    <mergeCell ref="A39:F39"/>
    <mergeCell ref="I37:L37"/>
    <mergeCell ref="I38:L38"/>
  </mergeCells>
  <pageMargins left="0.70866141732283472" right="0.70866141732283472" top="0.54" bottom="0.5" header="0.31496062992125984" footer="0.31496062992125984"/>
  <pageSetup paperSize="9" orientation="portrait" blackAndWhite="1" r:id="rId1"/>
  <headerFooter>
    <oddFooter>&amp;R&amp;"Verdana,Normalny"&amp;6Druk wniosku o wypłatę zaliczki (v.2)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76B44-087A-4106-A3FB-2941A7B97BF0}">
  <dimension ref="A3:C20"/>
  <sheetViews>
    <sheetView workbookViewId="0">
      <selection activeCell="A3" sqref="A3"/>
    </sheetView>
  </sheetViews>
  <sheetFormatPr defaultRowHeight="15" x14ac:dyDescent="0.25"/>
  <sheetData>
    <row r="3" spans="1:3" x14ac:dyDescent="0.25">
      <c r="A3" s="3"/>
      <c r="B3" s="4"/>
      <c r="C3" s="5"/>
    </row>
    <row r="4" spans="1:3" x14ac:dyDescent="0.25">
      <c r="A4" s="6"/>
      <c r="B4" s="7"/>
      <c r="C4" s="8"/>
    </row>
    <row r="5" spans="1:3" x14ac:dyDescent="0.25">
      <c r="A5" s="6"/>
      <c r="B5" s="7"/>
      <c r="C5" s="8"/>
    </row>
    <row r="6" spans="1:3" x14ac:dyDescent="0.25">
      <c r="A6" s="6"/>
      <c r="B6" s="7"/>
      <c r="C6" s="8"/>
    </row>
    <row r="7" spans="1:3" x14ac:dyDescent="0.25">
      <c r="A7" s="6"/>
      <c r="B7" s="7"/>
      <c r="C7" s="8"/>
    </row>
    <row r="8" spans="1:3" x14ac:dyDescent="0.25">
      <c r="A8" s="6"/>
      <c r="B8" s="7"/>
      <c r="C8" s="8"/>
    </row>
    <row r="9" spans="1:3" x14ac:dyDescent="0.25">
      <c r="A9" s="6"/>
      <c r="B9" s="7"/>
      <c r="C9" s="8"/>
    </row>
    <row r="10" spans="1:3" x14ac:dyDescent="0.25">
      <c r="A10" s="6"/>
      <c r="B10" s="7"/>
      <c r="C10" s="8"/>
    </row>
    <row r="11" spans="1:3" x14ac:dyDescent="0.25">
      <c r="A11" s="6"/>
      <c r="B11" s="7"/>
      <c r="C11" s="8"/>
    </row>
    <row r="12" spans="1:3" x14ac:dyDescent="0.25">
      <c r="A12" s="6"/>
      <c r="B12" s="7"/>
      <c r="C12" s="8"/>
    </row>
    <row r="13" spans="1:3" x14ac:dyDescent="0.25">
      <c r="A13" s="6"/>
      <c r="B13" s="7"/>
      <c r="C13" s="8"/>
    </row>
    <row r="14" spans="1:3" x14ac:dyDescent="0.25">
      <c r="A14" s="6"/>
      <c r="B14" s="7"/>
      <c r="C14" s="8"/>
    </row>
    <row r="15" spans="1:3" x14ac:dyDescent="0.25">
      <c r="A15" s="6"/>
      <c r="B15" s="7"/>
      <c r="C15" s="8"/>
    </row>
    <row r="16" spans="1:3" x14ac:dyDescent="0.25">
      <c r="A16" s="6"/>
      <c r="B16" s="7"/>
      <c r="C16" s="8"/>
    </row>
    <row r="17" spans="1:3" x14ac:dyDescent="0.25">
      <c r="A17" s="6"/>
      <c r="B17" s="7"/>
      <c r="C17" s="8"/>
    </row>
    <row r="18" spans="1:3" x14ac:dyDescent="0.25">
      <c r="A18" s="6"/>
      <c r="B18" s="7"/>
      <c r="C18" s="8"/>
    </row>
    <row r="19" spans="1:3" x14ac:dyDescent="0.25">
      <c r="A19" s="6"/>
      <c r="B19" s="7"/>
      <c r="C19" s="8"/>
    </row>
    <row r="20" spans="1:3" x14ac:dyDescent="0.25">
      <c r="A20" s="9"/>
      <c r="B20" s="10"/>
      <c r="C20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7E827-1FD5-4410-94B6-921A4F70E678}">
  <dimension ref="A3:B7"/>
  <sheetViews>
    <sheetView workbookViewId="0">
      <selection activeCell="B4" sqref="B4"/>
    </sheetView>
  </sheetViews>
  <sheetFormatPr defaultRowHeight="15" x14ac:dyDescent="0.25"/>
  <cols>
    <col min="1" max="1" width="17.7109375" bestFit="1" customWidth="1"/>
    <col min="2" max="2" width="8.5703125" bestFit="1" customWidth="1"/>
  </cols>
  <sheetData>
    <row r="3" spans="1:2" x14ac:dyDescent="0.25">
      <c r="A3" s="12" t="s">
        <v>18</v>
      </c>
      <c r="B3" t="s">
        <v>20</v>
      </c>
    </row>
    <row r="4" spans="1:2" x14ac:dyDescent="0.25">
      <c r="A4" s="13" t="s">
        <v>16</v>
      </c>
      <c r="B4" s="14">
        <v>2</v>
      </c>
    </row>
    <row r="5" spans="1:2" x14ac:dyDescent="0.25">
      <c r="A5" s="13" t="s">
        <v>17</v>
      </c>
      <c r="B5" s="14">
        <v>3</v>
      </c>
    </row>
    <row r="6" spans="1:2" x14ac:dyDescent="0.25">
      <c r="A6" s="13" t="s">
        <v>21</v>
      </c>
      <c r="B6" s="14">
        <v>11</v>
      </c>
    </row>
    <row r="7" spans="1:2" x14ac:dyDescent="0.25">
      <c r="A7" s="13" t="s">
        <v>19</v>
      </c>
      <c r="B7" s="14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E44DE-B6BF-4967-8BC1-D224E120594F}">
  <dimension ref="A1:B4"/>
  <sheetViews>
    <sheetView workbookViewId="0">
      <selection activeCell="C7" sqref="C7"/>
    </sheetView>
  </sheetViews>
  <sheetFormatPr defaultRowHeight="15" x14ac:dyDescent="0.25"/>
  <sheetData>
    <row r="1" spans="1:2" x14ac:dyDescent="0.25">
      <c r="A1" t="s">
        <v>15</v>
      </c>
      <c r="B1">
        <v>1</v>
      </c>
    </row>
    <row r="2" spans="1:2" x14ac:dyDescent="0.25">
      <c r="A2" t="s">
        <v>21</v>
      </c>
      <c r="B2">
        <v>11</v>
      </c>
    </row>
    <row r="3" spans="1:2" x14ac:dyDescent="0.25">
      <c r="A3" t="s">
        <v>16</v>
      </c>
      <c r="B3">
        <v>2</v>
      </c>
    </row>
    <row r="4" spans="1:2" x14ac:dyDescent="0.25">
      <c r="A4" t="s">
        <v>17</v>
      </c>
      <c r="B4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Arkusz3</vt:lpstr>
      <vt:lpstr>Arkusz4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użytkownik</cp:lastModifiedBy>
  <cp:lastPrinted>2020-08-06T10:46:08Z</cp:lastPrinted>
  <dcterms:created xsi:type="dcterms:W3CDTF">2018-12-06T12:02:58Z</dcterms:created>
  <dcterms:modified xsi:type="dcterms:W3CDTF">2020-08-06T10:46:15Z</dcterms:modified>
</cp:coreProperties>
</file>